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/>
  <workbookPr/>
  <mc:AlternateContent xmlns:mc="http://schemas.openxmlformats.org/markup-compatibility/2006">
    <mc:Choice Requires="x15">
      <x15ac:absPath xmlns:x15ac="http://schemas.microsoft.com/office/spreadsheetml/2010/11/ac" url="C:\Users\Bdabrowski\Desktop\"/>
    </mc:Choice>
  </mc:AlternateContent>
  <xr:revisionPtr revIDLastSave="0" documentId="13_ncr:1_{FED9CA47-3976-481C-A20D-61CA90DD2A9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ipe calculator" sheetId="1" r:id="rId1"/>
    <sheet name="Inner hybrid" sheetId="3" r:id="rId2"/>
    <sheet name="Constants" sheetId="2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W5" i="1" l="1"/>
  <c r="V6" i="1"/>
  <c r="R5" i="1"/>
  <c r="U5" i="1" s="1"/>
  <c r="R6" i="1"/>
  <c r="W6" i="1" s="1"/>
  <c r="R4" i="1"/>
  <c r="V4" i="1" s="1"/>
  <c r="U6" i="1"/>
  <c r="N6" i="3"/>
  <c r="N7" i="3" s="1"/>
  <c r="H4" i="1"/>
  <c r="Y2" i="2"/>
  <c r="B8" i="3"/>
  <c r="B4" i="3"/>
  <c r="N2" i="3" s="1"/>
  <c r="L6" i="1"/>
  <c r="O6" i="1" s="1"/>
  <c r="K6" i="1"/>
  <c r="B4" i="1"/>
  <c r="O26" i="1" s="1"/>
  <c r="J25" i="1"/>
  <c r="J26" i="1"/>
  <c r="L5" i="1"/>
  <c r="O5" i="1" s="1"/>
  <c r="L4" i="1"/>
  <c r="O4" i="1" s="1"/>
  <c r="K5" i="1"/>
  <c r="K4" i="1"/>
  <c r="P4" i="1" l="1"/>
  <c r="V5" i="1"/>
  <c r="P6" i="1"/>
  <c r="W4" i="1"/>
  <c r="U4" i="1"/>
  <c r="P5" i="1"/>
  <c r="N5" i="3"/>
  <c r="N4" i="3"/>
  <c r="N3" i="3"/>
  <c r="Q5" i="1"/>
  <c r="J27" i="1"/>
  <c r="Q6" i="1"/>
  <c r="Q4" i="1"/>
  <c r="M6" i="1"/>
  <c r="S6" i="1" s="1"/>
  <c r="T6" i="1" s="1"/>
  <c r="N6" i="1"/>
  <c r="O29" i="1"/>
  <c r="Q29" i="1" s="1"/>
  <c r="O27" i="1"/>
  <c r="Q27" i="1" s="1"/>
  <c r="O28" i="1"/>
  <c r="Q28" i="1" s="1"/>
  <c r="M5" i="1"/>
  <c r="S5" i="1" s="1"/>
  <c r="T5" i="1" s="1"/>
  <c r="M4" i="1"/>
  <c r="S4" i="1" s="1"/>
  <c r="T4" i="1" s="1"/>
  <c r="N5" i="1"/>
  <c r="N4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Bdabrowski</author>
  </authors>
  <commentList>
    <comment ref="M2" authorId="0" shapeId="0" xr:uid="{086190A4-C83A-4D2D-941A-F2E6251DC81B}">
      <text>
        <r>
          <rPr>
            <b/>
            <sz val="9"/>
            <color indexed="81"/>
            <rFont val="Tahoma"/>
            <charset val="1"/>
          </rPr>
          <t>Bdabrowski:</t>
        </r>
        <r>
          <rPr>
            <sz val="9"/>
            <color indexed="81"/>
            <rFont val="Tahoma"/>
            <charset val="1"/>
          </rPr>
          <t xml:space="preserve">
From Yield</t>
        </r>
      </text>
    </comment>
  </commentList>
</comments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D9D7E34-368C-459C-825E-ACDB697B38D0}" keepAlive="1" name="Zapytanie — Nowy dokument tekstowy" description="Połączenie z zapytaniem „Nowy dokument tekstowy” w skoroszycie." type="5" refreshedVersion="0" background="1">
    <dbPr connection="Provider=Microsoft.Mashup.OleDb.1;Data Source=$Workbook$;Location=&quot;Nowy dokument tekstowy&quot;;Extended Properties=&quot;&quot;" command="SELECT * FROM [Nowy dokument tekstowy]"/>
  </connection>
</connections>
</file>

<file path=xl/sharedStrings.xml><?xml version="1.0" encoding="utf-8"?>
<sst xmlns="http://schemas.openxmlformats.org/spreadsheetml/2006/main" count="131" uniqueCount="90">
  <si>
    <t>mm</t>
  </si>
  <si>
    <t>Mpa</t>
  </si>
  <si>
    <t>*C</t>
  </si>
  <si>
    <t>Material</t>
  </si>
  <si>
    <t>Young modus Gpa</t>
  </si>
  <si>
    <t>Shear modulus Gpa</t>
  </si>
  <si>
    <t>Tensile strength MPa</t>
  </si>
  <si>
    <t>Yield strength MPa</t>
  </si>
  <si>
    <t>Outside pressure</t>
  </si>
  <si>
    <t>Constants</t>
  </si>
  <si>
    <t>Force applied on snap ring</t>
  </si>
  <si>
    <t>Area</t>
  </si>
  <si>
    <t>m^2</t>
  </si>
  <si>
    <t>Force on the endcap</t>
  </si>
  <si>
    <t>kN</t>
  </si>
  <si>
    <t>Stress on the ring</t>
  </si>
  <si>
    <t>Aluminium 7075 PA9</t>
  </si>
  <si>
    <t>2:1</t>
  </si>
  <si>
    <t>3:1</t>
  </si>
  <si>
    <t>4:1</t>
  </si>
  <si>
    <t>Aluminium 6060 PA38</t>
  </si>
  <si>
    <t>Physical properties</t>
  </si>
  <si>
    <t>Volume</t>
  </si>
  <si>
    <t>l</t>
  </si>
  <si>
    <t>g</t>
  </si>
  <si>
    <t>Inside diameter</t>
  </si>
  <si>
    <t>Length</t>
  </si>
  <si>
    <t>N2O desnsity</t>
  </si>
  <si>
    <t>d(kg/m3)</t>
  </si>
  <si>
    <t>T(*C)</t>
  </si>
  <si>
    <t>P(kPa)</t>
  </si>
  <si>
    <t>Amount of N2O at 25*C</t>
  </si>
  <si>
    <t>Amount of N2O at 20*C</t>
  </si>
  <si>
    <t>Amount of N2O at 15*C</t>
  </si>
  <si>
    <t>Outside diameter</t>
  </si>
  <si>
    <t>Wall thickness</t>
  </si>
  <si>
    <t>Snap ring groove depth</t>
  </si>
  <si>
    <t>Pa</t>
  </si>
  <si>
    <t>Theoretical impulse</t>
  </si>
  <si>
    <t>N2O performacne</t>
  </si>
  <si>
    <t>Ns/kg</t>
  </si>
  <si>
    <t>Maximum loads</t>
  </si>
  <si>
    <t>% of yield</t>
  </si>
  <si>
    <t>Dimensions</t>
  </si>
  <si>
    <t>Burst pressure [Mpa]</t>
  </si>
  <si>
    <t>Yield pressure [Mpa]</t>
  </si>
  <si>
    <t>Operating pressure [Mpa]</t>
  </si>
  <si>
    <t>Buckling Force [kN]</t>
  </si>
  <si>
    <t>Force on the endcap [kN]</t>
  </si>
  <si>
    <t>Stress on the ring groove [Mpa]</t>
  </si>
  <si>
    <t>Bolt size</t>
  </si>
  <si>
    <t>M5</t>
  </si>
  <si>
    <t>M4</t>
  </si>
  <si>
    <t>M3</t>
  </si>
  <si>
    <t>M6</t>
  </si>
  <si>
    <t>M7</t>
  </si>
  <si>
    <t>M8</t>
  </si>
  <si>
    <t>Aluminium 6082-T6 PA4</t>
  </si>
  <si>
    <t>Paraffin</t>
  </si>
  <si>
    <t>Casing dimensions</t>
  </si>
  <si>
    <t>Grain dimensions</t>
  </si>
  <si>
    <t>Volume of fuel grain</t>
  </si>
  <si>
    <t>Mass of fuel grain</t>
  </si>
  <si>
    <t>cm3</t>
  </si>
  <si>
    <t>Material density g/cm3</t>
  </si>
  <si>
    <t>Snap ring</t>
  </si>
  <si>
    <t>Temperature</t>
  </si>
  <si>
    <t>Pressue</t>
  </si>
  <si>
    <t>Operating parameters</t>
  </si>
  <si>
    <t>n/a</t>
  </si>
  <si>
    <t>Shear strength for given class [kN]</t>
  </si>
  <si>
    <t>Tensile strength for given class [kN]</t>
  </si>
  <si>
    <t>4.6</t>
  </si>
  <si>
    <t>5.6</t>
  </si>
  <si>
    <t>6.8</t>
  </si>
  <si>
    <t>8.8</t>
  </si>
  <si>
    <t>Bolts [class 4.6]</t>
  </si>
  <si>
    <t>From operating parmeters</t>
  </si>
  <si>
    <t>Outside diameter Do</t>
  </si>
  <si>
    <t>Wall thickness To</t>
  </si>
  <si>
    <t>Length Lo</t>
  </si>
  <si>
    <t>Inner tube wall thickness Ti</t>
  </si>
  <si>
    <t>Inner tube outside diameter Di</t>
  </si>
  <si>
    <t xml:space="preserve">Inner tube inside diameter </t>
  </si>
  <si>
    <t>Inner tube outside length Li</t>
  </si>
  <si>
    <t>Length Lg</t>
  </si>
  <si>
    <t>Core diameter Dc</t>
  </si>
  <si>
    <t>Grain diameter Dg</t>
  </si>
  <si>
    <t>Safety factor K</t>
  </si>
  <si>
    <t>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</si>
</sst>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8" formatCode="0.0"/>
  </numFmts>
  <fonts count="5" x14ac:knownFonts="1">
    <font>
      <sz val="11"/>
      <color theme="1"/>
      <name val="Calibri"/>
      <family val="2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79998168889431442"/>
        <bgColor theme="9" tint="0.79998168889431442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1" tint="0.499984740745262"/>
        <bgColor indexed="64"/>
      </patternFill>
    </fill>
  </fills>
  <borders count="5">
    <border>
      <left/>
      <right/>
      <top/>
      <bottom/>
      <diagonal/>
    </border>
    <border>
      <left style="thin">
        <color theme="9" tint="0.39997558519241921"/>
      </left>
      <right/>
      <top style="thin">
        <color theme="9" tint="0.39997558519241921"/>
      </top>
      <bottom style="thin">
        <color theme="9" tint="0.39997558519241921"/>
      </bottom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3">
    <xf numFmtId="0" fontId="0" fillId="0" borderId="0"/>
    <xf numFmtId="0" fontId="1" fillId="7" borderId="3" applyNumberFormat="0" applyAlignment="0" applyProtection="0"/>
    <xf numFmtId="0" fontId="2" fillId="8" borderId="4" applyNumberFormat="0" applyAlignment="0" applyProtection="0"/>
  </cellStyleXfs>
  <cellXfs count="42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/>
    <xf numFmtId="0" fontId="0" fillId="3" borderId="0" xfId="0" applyFill="1"/>
    <xf numFmtId="49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/>
    </xf>
    <xf numFmtId="2" fontId="0" fillId="0" borderId="0" xfId="0" applyNumberFormat="1"/>
    <xf numFmtId="0" fontId="0" fillId="4" borderId="1" xfId="0" applyFill="1" applyBorder="1"/>
    <xf numFmtId="0" fontId="0" fillId="4" borderId="2" xfId="0" applyFill="1" applyBorder="1"/>
    <xf numFmtId="0" fontId="0" fillId="0" borderId="1" xfId="0" applyBorder="1"/>
    <xf numFmtId="0" fontId="0" fillId="0" borderId="2" xfId="0" applyBorder="1"/>
    <xf numFmtId="0" fontId="0" fillId="2" borderId="0" xfId="0" applyFill="1" applyAlignment="1">
      <alignment horizontal="center"/>
    </xf>
    <xf numFmtId="0" fontId="0" fillId="5" borderId="0" xfId="0" applyFill="1" applyAlignment="1">
      <alignment horizontal="center"/>
    </xf>
    <xf numFmtId="0" fontId="0" fillId="5" borderId="0" xfId="0" applyFill="1"/>
    <xf numFmtId="0" fontId="0" fillId="6" borderId="0" xfId="0" applyFill="1" applyAlignment="1">
      <alignment horizontal="center"/>
    </xf>
    <xf numFmtId="2" fontId="0" fillId="3" borderId="0" xfId="0" applyNumberFormat="1" applyFill="1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0" borderId="0" xfId="0" applyAlignment="1">
      <alignment vertical="center" wrapText="1"/>
    </xf>
    <xf numFmtId="0" fontId="1" fillId="7" borderId="3" xfId="1"/>
    <xf numFmtId="2" fontId="2" fillId="8" borderId="4" xfId="2" applyNumberFormat="1" applyAlignment="1">
      <alignment horizontal="center"/>
    </xf>
    <xf numFmtId="0" fontId="2" fillId="8" borderId="4" xfId="2" applyAlignment="1">
      <alignment horizontal="center"/>
    </xf>
    <xf numFmtId="2" fontId="2" fillId="8" borderId="4" xfId="2" applyNumberFormat="1"/>
    <xf numFmtId="2" fontId="0" fillId="0" borderId="0" xfId="0" applyNumberFormat="1" applyFill="1" applyAlignment="1">
      <alignment horizontal="center"/>
    </xf>
    <xf numFmtId="0" fontId="0" fillId="0" borderId="0" xfId="0" applyFill="1"/>
    <xf numFmtId="2" fontId="0" fillId="0" borderId="0" xfId="0" applyNumberFormat="1" applyFill="1" applyAlignment="1">
      <alignment horizontal="center"/>
    </xf>
    <xf numFmtId="0" fontId="0" fillId="0" borderId="0" xfId="0" applyFill="1" applyAlignment="1">
      <alignment horizontal="center"/>
    </xf>
    <xf numFmtId="49" fontId="0" fillId="9" borderId="0" xfId="0" applyNumberFormat="1" applyFill="1" applyAlignment="1">
      <alignment horizontal="center"/>
    </xf>
    <xf numFmtId="2" fontId="0" fillId="9" borderId="0" xfId="0" applyNumberFormat="1" applyFill="1" applyAlignment="1">
      <alignment horizontal="center"/>
    </xf>
    <xf numFmtId="0" fontId="0" fillId="9" borderId="0" xfId="0" applyFill="1" applyAlignment="1">
      <alignment horizontal="center"/>
    </xf>
    <xf numFmtId="2" fontId="0" fillId="9" borderId="0" xfId="0" applyNumberFormat="1" applyFill="1" applyAlignment="1">
      <alignment horizontal="center"/>
    </xf>
    <xf numFmtId="2" fontId="0" fillId="9" borderId="0" xfId="0" applyNumberFormat="1" applyFill="1"/>
    <xf numFmtId="0" fontId="0" fillId="9" borderId="0" xfId="0" applyFill="1"/>
    <xf numFmtId="168" fontId="1" fillId="7" borderId="3" xfId="1" applyNumberFormat="1"/>
    <xf numFmtId="49" fontId="0" fillId="6" borderId="0" xfId="0" applyNumberFormat="1" applyFill="1" applyAlignment="1">
      <alignment horizontal="center"/>
    </xf>
    <xf numFmtId="49" fontId="0" fillId="5" borderId="0" xfId="0" applyNumberFormat="1" applyFill="1" applyAlignment="1">
      <alignment horizontal="center"/>
    </xf>
    <xf numFmtId="0" fontId="1" fillId="0" borderId="3" xfId="1" applyFill="1"/>
    <xf numFmtId="0" fontId="1" fillId="0" borderId="3" xfId="1" applyFill="1" applyBorder="1"/>
    <xf numFmtId="0" fontId="0" fillId="10" borderId="0" xfId="0" applyFill="1" applyAlignment="1">
      <alignment horizontal="center"/>
    </xf>
    <xf numFmtId="0" fontId="0" fillId="10" borderId="0" xfId="0" applyFill="1" applyAlignment="1">
      <alignment horizontal="center"/>
    </xf>
    <xf numFmtId="1" fontId="2" fillId="8" borderId="4" xfId="2" applyNumberFormat="1" applyAlignment="1">
      <alignment horizontal="center"/>
    </xf>
    <xf numFmtId="1" fontId="2" fillId="8" borderId="4" xfId="2" applyNumberFormat="1"/>
  </cellXfs>
  <cellStyles count="3">
    <cellStyle name="Dane wejściowe" xfId="1" builtinId="20"/>
    <cellStyle name="Dane wyjściowe" xfId="2" builtinId="21"/>
    <cellStyle name="Normalny" xfId="0" builtinId="0"/>
  </cellStyles>
  <dxfs count="33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11</xdr:row>
      <xdr:rowOff>8964</xdr:rowOff>
    </xdr:from>
    <xdr:to>
      <xdr:col>3</xdr:col>
      <xdr:colOff>54348</xdr:colOff>
      <xdr:row>47</xdr:row>
      <xdr:rowOff>66114</xdr:rowOff>
    </xdr:to>
    <xdr:pic>
      <xdr:nvPicPr>
        <xdr:cNvPr id="3" name="Obraz 2">
          <a:extLst>
            <a:ext uri="{FF2B5EF4-FFF2-40B4-BE49-F238E27FC236}">
              <a16:creationId xmlns:a16="http://schemas.microsoft.com/office/drawing/2014/main" id="{C2AF3CCA-66C7-EFD6-9E41-74893C6FC5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104464"/>
          <a:ext cx="3404907" cy="69151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58"/>
  <sheetViews>
    <sheetView tabSelected="1" zoomScale="85" zoomScaleNormal="85" workbookViewId="0">
      <selection activeCell="K21" sqref="K21"/>
    </sheetView>
  </sheetViews>
  <sheetFormatPr defaultRowHeight="15" x14ac:dyDescent="0.25"/>
  <cols>
    <col min="1" max="1" width="28" customWidth="1"/>
    <col min="2" max="2" width="11.28515625" customWidth="1"/>
    <col min="5" max="5" width="16.140625" customWidth="1"/>
    <col min="9" max="9" width="22.28515625" customWidth="1"/>
    <col min="10" max="11" width="25.42578125" customWidth="1"/>
    <col min="12" max="12" width="21.42578125" customWidth="1"/>
    <col min="13" max="13" width="23.85546875" customWidth="1"/>
    <col min="14" max="14" width="24.140625" customWidth="1"/>
    <col min="15" max="15" width="19" style="1" customWidth="1"/>
    <col min="16" max="16" width="26.5703125" style="1" customWidth="1"/>
    <col min="17" max="17" width="25" style="6" customWidth="1"/>
    <col min="18" max="18" width="26.85546875" style="6" customWidth="1"/>
    <col min="19" max="19" width="26.7109375" style="6" customWidth="1"/>
    <col min="20" max="20" width="13.5703125" customWidth="1"/>
    <col min="21" max="21" width="14" customWidth="1"/>
    <col min="22" max="22" width="13" customWidth="1"/>
    <col min="23" max="23" width="15.42578125" customWidth="1"/>
  </cols>
  <sheetData>
    <row r="1" spans="1:23" x14ac:dyDescent="0.25">
      <c r="A1" s="16" t="s">
        <v>43</v>
      </c>
      <c r="B1" s="16"/>
      <c r="C1" s="16"/>
      <c r="E1" s="16" t="s">
        <v>68</v>
      </c>
      <c r="F1" s="16"/>
      <c r="G1" s="16"/>
      <c r="J1" s="17" t="s">
        <v>41</v>
      </c>
      <c r="K1" s="17"/>
      <c r="L1" s="17"/>
      <c r="M1" s="17"/>
      <c r="N1" s="17"/>
      <c r="O1" s="17"/>
      <c r="P1" s="17"/>
      <c r="Q1" s="17"/>
      <c r="R1" s="17"/>
      <c r="S1" s="3"/>
      <c r="T1" s="3"/>
      <c r="U1" s="3"/>
      <c r="V1" s="3"/>
      <c r="W1" s="3"/>
    </row>
    <row r="2" spans="1:23" x14ac:dyDescent="0.25">
      <c r="A2" s="1" t="s">
        <v>34</v>
      </c>
      <c r="B2" s="19">
        <v>58</v>
      </c>
      <c r="C2" t="s">
        <v>0</v>
      </c>
      <c r="E2" s="1" t="s">
        <v>67</v>
      </c>
      <c r="F2" s="19">
        <v>6</v>
      </c>
      <c r="G2" t="s">
        <v>1</v>
      </c>
      <c r="J2" s="4"/>
      <c r="K2" s="27" t="s">
        <v>44</v>
      </c>
      <c r="L2" s="27" t="s">
        <v>45</v>
      </c>
      <c r="M2" s="28" t="s">
        <v>46</v>
      </c>
      <c r="N2" s="28"/>
      <c r="O2" s="28"/>
      <c r="P2" s="28"/>
      <c r="Q2" s="27" t="s">
        <v>47</v>
      </c>
      <c r="R2" s="29" t="s">
        <v>48</v>
      </c>
      <c r="S2" s="28" t="s">
        <v>65</v>
      </c>
      <c r="T2" s="28"/>
      <c r="U2" s="38" t="s">
        <v>76</v>
      </c>
      <c r="V2" s="38"/>
      <c r="W2" s="38"/>
    </row>
    <row r="3" spans="1:23" x14ac:dyDescent="0.25">
      <c r="A3" s="1" t="s">
        <v>35</v>
      </c>
      <c r="B3" s="19">
        <v>3</v>
      </c>
      <c r="C3" t="s">
        <v>0</v>
      </c>
      <c r="E3" s="1" t="s">
        <v>66</v>
      </c>
      <c r="F3" s="19">
        <v>20</v>
      </c>
      <c r="G3" t="s">
        <v>2</v>
      </c>
      <c r="K3" s="30"/>
      <c r="L3" s="29"/>
      <c r="M3" s="27" t="s">
        <v>17</v>
      </c>
      <c r="N3" s="27" t="s">
        <v>18</v>
      </c>
      <c r="O3" s="27" t="s">
        <v>19</v>
      </c>
      <c r="P3" s="39" t="s">
        <v>77</v>
      </c>
      <c r="Q3" s="31"/>
      <c r="R3" s="32"/>
      <c r="S3" s="29" t="s">
        <v>49</v>
      </c>
      <c r="T3" s="27" t="s">
        <v>42</v>
      </c>
      <c r="U3" s="39" t="s">
        <v>52</v>
      </c>
      <c r="V3" s="39" t="s">
        <v>51</v>
      </c>
      <c r="W3" s="39" t="s">
        <v>54</v>
      </c>
    </row>
    <row r="4" spans="1:23" x14ac:dyDescent="0.25">
      <c r="A4" s="1" t="s">
        <v>25</v>
      </c>
      <c r="B4" s="19">
        <f>B2-2*B3</f>
        <v>52</v>
      </c>
      <c r="C4" t="s">
        <v>0</v>
      </c>
      <c r="E4" s="1" t="s">
        <v>88</v>
      </c>
      <c r="F4" s="33">
        <v>2</v>
      </c>
      <c r="G4" t="s">
        <v>69</v>
      </c>
      <c r="H4" s="5">
        <f>100</f>
        <v>100</v>
      </c>
      <c r="J4" s="2" t="s">
        <v>20</v>
      </c>
      <c r="K4" s="20">
        <f>(Constants!$E2 * ('Pipe calculator'!$B$3*10^-3) * 2)/('Pipe calculator'!$B$2*10^-3)</f>
        <v>21.413793103448274</v>
      </c>
      <c r="L4" s="20">
        <f>(Constants!$D2 * ('Pipe calculator'!$B$3*10^-3) * 2)/('Pipe calculator'!$B$2*10^-3)</f>
        <v>11.379310344827585</v>
      </c>
      <c r="M4" s="20">
        <f>L4/2</f>
        <v>5.6896551724137927</v>
      </c>
      <c r="N4" s="20">
        <f>L4/3</f>
        <v>3.7931034482758617</v>
      </c>
      <c r="O4" s="20">
        <f>L4/4</f>
        <v>2.8448275862068964</v>
      </c>
      <c r="P4" s="20">
        <f>L4/$F$4</f>
        <v>5.6896551724137927</v>
      </c>
      <c r="Q4" s="20">
        <f>((3.14^2*Constants!B2*10^9 * 3.14/4 *( ($B$2/1000)^4 - ($B$4/1000)^4)) / (1*$B$5/1000)^2) /1000</f>
        <v>13348.046158289706</v>
      </c>
      <c r="R4" s="20">
        <f>($F$2*10^6*(($B$2/2-$B$3)*10^-3)^2*3.14)/1000</f>
        <v>12.735840000000003</v>
      </c>
      <c r="S4" s="20">
        <f>R4*10^3/$J$25/10^6</f>
        <v>62.399999999999878</v>
      </c>
      <c r="T4" s="20">
        <f>S4/Constants!E2*100</f>
        <v>30.144927536231826</v>
      </c>
      <c r="U4" s="40">
        <f>R4*$F$4/Constants!$F$24</f>
        <v>12.735840000000003</v>
      </c>
      <c r="V4" s="41">
        <f>R4*$F$4/Constants!$F$25</f>
        <v>9.3302857142857167</v>
      </c>
      <c r="W4" s="41">
        <f>R4*$F$4/Constants!$F$26</f>
        <v>6.5988808290155463</v>
      </c>
    </row>
    <row r="5" spans="1:23" x14ac:dyDescent="0.25">
      <c r="A5" s="1" t="s">
        <v>26</v>
      </c>
      <c r="B5" s="19">
        <v>400</v>
      </c>
      <c r="C5" t="s">
        <v>0</v>
      </c>
      <c r="J5" s="2" t="s">
        <v>16</v>
      </c>
      <c r="K5" s="20">
        <f>(Constants!$E3 * ('Pipe calculator'!$B$3*10^-3) * 2)/('Pipe calculator'!$B$2*10^-3)</f>
        <v>55.655172413793103</v>
      </c>
      <c r="L5" s="20">
        <f>(Constants!$D3 * ('Pipe calculator'!$B$3*10^-3) * 2)/('Pipe calculator'!$B$2*10^-3)</f>
        <v>49.96551724137931</v>
      </c>
      <c r="M5" s="20">
        <f>L5/2</f>
        <v>24.982758620689655</v>
      </c>
      <c r="N5" s="20">
        <f>L5/3</f>
        <v>16.655172413793103</v>
      </c>
      <c r="O5" s="20">
        <f t="shared" ref="O5:O6" si="0">L5/4</f>
        <v>12.491379310344827</v>
      </c>
      <c r="P5" s="20">
        <f t="shared" ref="P5:P6" si="1">L5/$F$4</f>
        <v>24.982758620689655</v>
      </c>
      <c r="Q5" s="20">
        <f>((3.14^2*Constants!B3*10^9 * 3.14/4 *( ($B$2/1000)^4 - ($B$4/1000)^4)) / (1*$B$5/1000)^2) /1000</f>
        <v>13890.492156014108</v>
      </c>
      <c r="R5" s="20">
        <f t="shared" ref="R5:R6" si="2">($F$2*10^6*(($B$2/2-$B$3)*10^-3)^2*3.14)/1000</f>
        <v>12.735840000000003</v>
      </c>
      <c r="S5" s="20">
        <f>R5*10^3/$J$25/10^6</f>
        <v>62.399999999999878</v>
      </c>
      <c r="T5" s="20">
        <f>S5/Constants!E3*100</f>
        <v>11.598513011152393</v>
      </c>
      <c r="U5" s="40">
        <f>R5*$F$4/Constants!$F$24</f>
        <v>12.735840000000003</v>
      </c>
      <c r="V5" s="41">
        <f>R5*$F$4/Constants!$F$25</f>
        <v>9.3302857142857167</v>
      </c>
      <c r="W5" s="41">
        <f>R5*$F$4/Constants!$F$26</f>
        <v>6.5988808290155463</v>
      </c>
    </row>
    <row r="6" spans="1:23" x14ac:dyDescent="0.25">
      <c r="A6" s="1" t="s">
        <v>36</v>
      </c>
      <c r="B6" s="19">
        <v>1</v>
      </c>
      <c r="C6" t="s">
        <v>0</v>
      </c>
      <c r="J6" s="2" t="s">
        <v>57</v>
      </c>
      <c r="K6" s="20">
        <f>(Constants!$E4 * ('Pipe calculator'!$B$3*10^-3) * 2)/('Pipe calculator'!$B$2*10^-3)</f>
        <v>31.03448275862069</v>
      </c>
      <c r="L6" s="20">
        <f>(Constants!$D4 * ('Pipe calculator'!$B$3*10^-3) * 2)/('Pipe calculator'!$B$2*10^-3)</f>
        <v>27.931034482758623</v>
      </c>
      <c r="M6" s="20">
        <f>L6/2</f>
        <v>13.965517241379311</v>
      </c>
      <c r="N6" s="20">
        <f>L6/3</f>
        <v>9.3103448275862082</v>
      </c>
      <c r="O6" s="20">
        <f t="shared" si="0"/>
        <v>6.9827586206896557</v>
      </c>
      <c r="P6" s="20">
        <f t="shared" si="1"/>
        <v>13.965517241379311</v>
      </c>
      <c r="Q6" s="20">
        <f>((3.14^2*Constants!B4*10^9 * 3.14/4 *( ($B$2/1000)^4 - ($B$4/1000)^4)) / (1*$B$5/1000)^2) /1000</f>
        <v>13561.149943110006</v>
      </c>
      <c r="R6" s="20">
        <f t="shared" si="2"/>
        <v>12.735840000000003</v>
      </c>
      <c r="S6" s="20">
        <f>R6*10^3/$J$25/10^6</f>
        <v>62.399999999999878</v>
      </c>
      <c r="T6" s="20">
        <f>S6/Constants!E4*100</f>
        <v>20.799999999999962</v>
      </c>
      <c r="U6" s="40">
        <f>R6*$F$4/Constants!$F$24</f>
        <v>12.735840000000003</v>
      </c>
      <c r="V6" s="41">
        <f>R6*$F$4/Constants!$F$25</f>
        <v>9.3302857142857167</v>
      </c>
      <c r="W6" s="41">
        <f>R6*$F$4/Constants!$F$26</f>
        <v>6.5988808290155463</v>
      </c>
    </row>
    <row r="7" spans="1:23" x14ac:dyDescent="0.25">
      <c r="A7" s="1"/>
      <c r="B7" s="37"/>
      <c r="K7" s="5"/>
      <c r="L7" s="5"/>
      <c r="M7" s="5"/>
      <c r="N7" s="5"/>
      <c r="O7" s="5"/>
      <c r="P7" s="5"/>
      <c r="Q7" s="5"/>
      <c r="R7" s="5"/>
      <c r="S7" s="5"/>
      <c r="T7" s="1"/>
    </row>
    <row r="8" spans="1:23" x14ac:dyDescent="0.25">
      <c r="K8" s="5"/>
      <c r="L8" s="5"/>
      <c r="M8" s="5"/>
      <c r="N8" s="5"/>
      <c r="O8" s="5"/>
      <c r="P8" s="5"/>
      <c r="Q8" s="5"/>
      <c r="R8" s="5"/>
      <c r="S8" s="5"/>
      <c r="T8" s="1"/>
    </row>
    <row r="9" spans="1:23" x14ac:dyDescent="0.25">
      <c r="K9" s="5"/>
      <c r="L9" s="5"/>
      <c r="M9" s="5"/>
      <c r="N9" s="5"/>
      <c r="O9" s="5"/>
      <c r="P9" s="5"/>
      <c r="Q9" s="5"/>
      <c r="R9" s="5"/>
      <c r="S9" s="5"/>
      <c r="T9" s="1"/>
    </row>
    <row r="10" spans="1:23" x14ac:dyDescent="0.25">
      <c r="K10" s="5"/>
      <c r="L10" s="5"/>
      <c r="M10" s="5"/>
      <c r="O10" s="5"/>
      <c r="P10" s="5"/>
      <c r="Q10" s="5"/>
      <c r="R10" s="5"/>
      <c r="S10" s="5"/>
      <c r="T10" s="1"/>
    </row>
    <row r="11" spans="1:23" x14ac:dyDescent="0.25">
      <c r="K11" s="5"/>
      <c r="L11" s="5"/>
      <c r="M11" s="5"/>
      <c r="N11" s="5"/>
      <c r="O11" s="5"/>
      <c r="P11" s="6"/>
      <c r="Q11"/>
      <c r="R11"/>
      <c r="S11"/>
    </row>
    <row r="12" spans="1:23" x14ac:dyDescent="0.25">
      <c r="K12" s="5"/>
      <c r="L12" s="5"/>
      <c r="M12" s="5"/>
      <c r="N12" s="5"/>
      <c r="O12" s="5"/>
      <c r="P12" s="6"/>
      <c r="Q12"/>
      <c r="R12"/>
      <c r="S12"/>
    </row>
    <row r="13" spans="1:23" x14ac:dyDescent="0.25">
      <c r="K13" s="5"/>
      <c r="L13" s="5"/>
      <c r="M13" s="6"/>
      <c r="N13" s="6"/>
      <c r="O13" s="6"/>
      <c r="P13" s="6"/>
      <c r="Q13"/>
      <c r="R13"/>
      <c r="S13"/>
    </row>
    <row r="14" spans="1:23" x14ac:dyDescent="0.25">
      <c r="K14" s="5"/>
      <c r="L14" s="5"/>
      <c r="M14" s="6"/>
      <c r="N14" s="6"/>
      <c r="O14" s="6"/>
      <c r="P14" s="6"/>
      <c r="Q14"/>
      <c r="R14"/>
      <c r="S14"/>
    </row>
    <row r="15" spans="1:23" x14ac:dyDescent="0.25">
      <c r="K15" s="5"/>
      <c r="L15" s="5"/>
      <c r="M15" s="6"/>
      <c r="N15" s="6"/>
      <c r="O15" s="6"/>
      <c r="P15" s="6"/>
      <c r="Q15"/>
      <c r="R15"/>
      <c r="S15"/>
    </row>
    <row r="16" spans="1:23" x14ac:dyDescent="0.25">
      <c r="K16" s="5"/>
      <c r="L16" s="5"/>
      <c r="M16" s="6"/>
      <c r="N16" s="6"/>
      <c r="O16" s="6"/>
      <c r="P16" s="6"/>
      <c r="Q16"/>
      <c r="R16"/>
      <c r="S16"/>
    </row>
    <row r="17" spans="9:19" x14ac:dyDescent="0.25">
      <c r="K17" s="1"/>
      <c r="L17" s="1"/>
      <c r="M17" s="6"/>
      <c r="N17" s="6"/>
      <c r="O17" s="6"/>
      <c r="P17" s="6"/>
      <c r="Q17"/>
      <c r="R17"/>
      <c r="S17"/>
    </row>
    <row r="18" spans="9:19" x14ac:dyDescent="0.25">
      <c r="K18" s="1"/>
      <c r="L18" s="1"/>
      <c r="M18" s="6"/>
      <c r="N18" s="6"/>
      <c r="O18" s="6"/>
      <c r="P18" s="6"/>
      <c r="Q18"/>
      <c r="R18"/>
      <c r="S18"/>
    </row>
    <row r="19" spans="9:19" x14ac:dyDescent="0.25">
      <c r="K19" s="1"/>
      <c r="L19" s="1"/>
      <c r="M19" s="6"/>
      <c r="N19" s="6"/>
      <c r="O19" s="6"/>
      <c r="P19"/>
      <c r="Q19"/>
      <c r="R19"/>
      <c r="S19"/>
    </row>
    <row r="20" spans="9:19" x14ac:dyDescent="0.25">
      <c r="J20" s="1"/>
      <c r="K20" s="1"/>
      <c r="L20" s="6"/>
      <c r="M20" s="6"/>
      <c r="N20" s="6"/>
      <c r="O20" s="6"/>
      <c r="P20"/>
      <c r="Q20"/>
      <c r="R20"/>
      <c r="S20"/>
    </row>
    <row r="21" spans="9:19" x14ac:dyDescent="0.25">
      <c r="I21" s="1"/>
      <c r="J21" s="1"/>
      <c r="K21" s="1"/>
      <c r="L21" s="5"/>
      <c r="N21" s="6"/>
      <c r="O21" s="6"/>
      <c r="P21"/>
      <c r="Q21"/>
      <c r="R21"/>
      <c r="S21"/>
    </row>
    <row r="22" spans="9:19" x14ac:dyDescent="0.25">
      <c r="I22" s="1"/>
      <c r="J22" s="1"/>
      <c r="K22" s="1"/>
      <c r="L22" s="5"/>
      <c r="N22" s="5"/>
      <c r="O22" s="6"/>
      <c r="P22"/>
      <c r="Q22"/>
      <c r="R22"/>
      <c r="S22"/>
    </row>
    <row r="23" spans="9:19" x14ac:dyDescent="0.25">
      <c r="I23" s="1"/>
      <c r="J23" s="1"/>
      <c r="K23" s="1"/>
      <c r="L23" s="5"/>
      <c r="N23" s="5"/>
      <c r="O23" s="6"/>
      <c r="P23"/>
      <c r="Q23"/>
      <c r="R23"/>
      <c r="S23"/>
    </row>
    <row r="24" spans="9:19" x14ac:dyDescent="0.25">
      <c r="I24" s="17" t="s">
        <v>10</v>
      </c>
      <c r="J24" s="17"/>
      <c r="K24" s="17"/>
      <c r="L24" s="5"/>
      <c r="N24" s="5"/>
      <c r="O24" s="6"/>
      <c r="P24"/>
      <c r="Q24"/>
      <c r="R24"/>
      <c r="S24"/>
    </row>
    <row r="25" spans="9:19" x14ac:dyDescent="0.25">
      <c r="I25" s="1" t="s">
        <v>11</v>
      </c>
      <c r="J25" s="21">
        <f>((($B$2/2+$B$3)+B6)*10^-3)^2*3.14 - ((($B$2/2+$B$3))*10^-3)^2*3.14</f>
        <v>2.0410000000000046E-4</v>
      </c>
      <c r="K25" s="1" t="s">
        <v>12</v>
      </c>
      <c r="L25" s="5"/>
      <c r="N25" s="15" t="s">
        <v>21</v>
      </c>
      <c r="O25" s="15"/>
      <c r="P25" s="5"/>
      <c r="Q25" s="5"/>
      <c r="R25"/>
      <c r="S25"/>
    </row>
    <row r="26" spans="9:19" x14ac:dyDescent="0.25">
      <c r="I26" s="1" t="s">
        <v>13</v>
      </c>
      <c r="J26" s="21">
        <f>($F$2*10^6*(($B$2/2-$B$3)*10^-3)^2*3.14)/1000</f>
        <v>12.735840000000003</v>
      </c>
      <c r="K26" s="1" t="s">
        <v>14</v>
      </c>
      <c r="N26" s="5" t="s">
        <v>22</v>
      </c>
      <c r="O26" s="22">
        <f>($B$4/100/2)^2*3.14*B5/100</f>
        <v>0.84905600000000025</v>
      </c>
      <c r="P26" t="s">
        <v>23</v>
      </c>
      <c r="Q26" s="17" t="s">
        <v>38</v>
      </c>
      <c r="R26" s="17"/>
      <c r="S26"/>
    </row>
    <row r="27" spans="9:19" x14ac:dyDescent="0.25">
      <c r="I27" s="1" t="s">
        <v>15</v>
      </c>
      <c r="J27" s="21">
        <f>J26*10^3/$J$25/10^6</f>
        <v>62.399999999999878</v>
      </c>
      <c r="K27" s="1" t="s">
        <v>1</v>
      </c>
      <c r="N27" s="5" t="s">
        <v>33</v>
      </c>
      <c r="O27" s="22">
        <f>$O$26*Constants!T16</f>
        <v>698.09384320000026</v>
      </c>
      <c r="P27" t="s">
        <v>24</v>
      </c>
      <c r="Q27" s="22">
        <f>O27/1000*Constants!$N$3</f>
        <v>1256.5689177600004</v>
      </c>
      <c r="R27" t="s">
        <v>89</v>
      </c>
      <c r="S27"/>
    </row>
    <row r="28" spans="9:19" x14ac:dyDescent="0.25">
      <c r="I28" s="1"/>
      <c r="J28" s="1"/>
      <c r="K28" s="1"/>
      <c r="L28" s="5"/>
      <c r="N28" s="5" t="s">
        <v>32</v>
      </c>
      <c r="O28" s="22">
        <f>$O$26*Constants!T17</f>
        <v>667.86744960000021</v>
      </c>
      <c r="P28" t="s">
        <v>24</v>
      </c>
      <c r="Q28" s="22">
        <f>O28/1000*Constants!$N$3</f>
        <v>1202.1614092800005</v>
      </c>
      <c r="R28" t="s">
        <v>89</v>
      </c>
      <c r="S28"/>
    </row>
    <row r="29" spans="9:19" x14ac:dyDescent="0.25">
      <c r="I29" s="1"/>
      <c r="J29" s="1"/>
      <c r="K29" s="1"/>
      <c r="L29" s="5"/>
      <c r="N29" s="5" t="s">
        <v>31</v>
      </c>
      <c r="O29" s="22">
        <f>$O$26*Constants!T18</f>
        <v>631.61275840000019</v>
      </c>
      <c r="P29" t="s">
        <v>24</v>
      </c>
      <c r="Q29" s="22">
        <f>O29/1000*Constants!$N$3</f>
        <v>1136.9029651200003</v>
      </c>
      <c r="R29" t="s">
        <v>89</v>
      </c>
      <c r="S29"/>
    </row>
    <row r="30" spans="9:19" x14ac:dyDescent="0.25">
      <c r="I30" s="23"/>
      <c r="J30" s="23"/>
      <c r="K30" s="23"/>
      <c r="L30" s="5"/>
      <c r="N30" s="6"/>
      <c r="O30" s="6"/>
      <c r="P30"/>
      <c r="Q30"/>
      <c r="R30"/>
      <c r="S30"/>
    </row>
    <row r="31" spans="9:19" x14ac:dyDescent="0.25">
      <c r="I31" s="24"/>
      <c r="J31" s="25"/>
      <c r="K31" s="26"/>
      <c r="L31" s="5"/>
      <c r="N31" s="5"/>
      <c r="O31" s="6"/>
      <c r="P31"/>
      <c r="Q31"/>
      <c r="R31"/>
      <c r="S31"/>
    </row>
    <row r="32" spans="9:19" x14ac:dyDescent="0.25">
      <c r="I32" s="24"/>
      <c r="J32" s="25"/>
      <c r="K32" s="26"/>
      <c r="L32" s="5"/>
      <c r="N32" s="5"/>
      <c r="O32" s="6"/>
      <c r="P32"/>
      <c r="Q32"/>
      <c r="R32"/>
      <c r="S32"/>
    </row>
    <row r="33" spans="9:19" x14ac:dyDescent="0.25">
      <c r="I33" s="24"/>
      <c r="J33" s="24"/>
      <c r="K33" s="24"/>
      <c r="N33" s="5"/>
      <c r="O33" s="6"/>
      <c r="P33"/>
      <c r="Q33"/>
      <c r="R33"/>
      <c r="S33"/>
    </row>
    <row r="34" spans="9:19" x14ac:dyDescent="0.25">
      <c r="N34" s="1"/>
      <c r="Q34" s="5"/>
      <c r="R34" s="5"/>
    </row>
    <row r="35" spans="9:19" x14ac:dyDescent="0.25">
      <c r="N35" s="1"/>
      <c r="Q35" s="5"/>
      <c r="R35" s="5"/>
    </row>
    <row r="36" spans="9:19" x14ac:dyDescent="0.25">
      <c r="N36" s="1"/>
      <c r="Q36" s="5"/>
      <c r="R36" s="5"/>
    </row>
    <row r="37" spans="9:19" x14ac:dyDescent="0.25">
      <c r="N37" s="1"/>
      <c r="Q37" s="5"/>
      <c r="R37" s="5"/>
    </row>
    <row r="38" spans="9:19" x14ac:dyDescent="0.25">
      <c r="N38" s="1"/>
      <c r="Q38" s="5"/>
      <c r="R38" s="5"/>
    </row>
    <row r="39" spans="9:19" x14ac:dyDescent="0.25">
      <c r="N39" s="1"/>
      <c r="Q39" s="5"/>
      <c r="R39" s="5"/>
    </row>
    <row r="40" spans="9:19" x14ac:dyDescent="0.25">
      <c r="N40" s="1"/>
      <c r="Q40" s="5"/>
      <c r="R40" s="5"/>
    </row>
    <row r="41" spans="9:19" x14ac:dyDescent="0.25">
      <c r="N41" s="1"/>
      <c r="Q41" s="5"/>
      <c r="R41" s="5"/>
    </row>
    <row r="42" spans="9:19" x14ac:dyDescent="0.25">
      <c r="N42" s="1"/>
      <c r="Q42" s="5"/>
      <c r="R42" s="5"/>
    </row>
    <row r="43" spans="9:19" x14ac:dyDescent="0.25">
      <c r="N43" s="1"/>
      <c r="Q43" s="5"/>
      <c r="R43" s="5"/>
    </row>
    <row r="44" spans="9:19" x14ac:dyDescent="0.25">
      <c r="N44" s="1"/>
      <c r="Q44" s="5"/>
      <c r="R44" s="5"/>
    </row>
    <row r="45" spans="9:19" x14ac:dyDescent="0.25">
      <c r="N45" s="1"/>
      <c r="Q45" s="5"/>
      <c r="R45" s="5"/>
    </row>
    <row r="46" spans="9:19" x14ac:dyDescent="0.25">
      <c r="N46" s="1"/>
      <c r="Q46" s="5"/>
      <c r="R46" s="5"/>
    </row>
    <row r="47" spans="9:19" x14ac:dyDescent="0.25">
      <c r="N47" s="1"/>
      <c r="Q47" s="5"/>
      <c r="R47" s="5"/>
    </row>
    <row r="48" spans="9:19" x14ac:dyDescent="0.25">
      <c r="N48" s="1"/>
      <c r="Q48" s="5"/>
      <c r="R48" s="5"/>
    </row>
    <row r="49" spans="14:18" x14ac:dyDescent="0.25">
      <c r="N49" s="1"/>
      <c r="Q49" s="5"/>
      <c r="R49" s="5"/>
    </row>
    <row r="50" spans="14:18" x14ac:dyDescent="0.25">
      <c r="N50" s="1"/>
      <c r="Q50" s="5"/>
      <c r="R50" s="5"/>
    </row>
    <row r="51" spans="14:18" x14ac:dyDescent="0.25">
      <c r="N51" s="1"/>
      <c r="Q51" s="5"/>
      <c r="R51" s="5"/>
    </row>
    <row r="52" spans="14:18" x14ac:dyDescent="0.25">
      <c r="N52" s="1"/>
      <c r="Q52" s="5"/>
      <c r="R52" s="5"/>
    </row>
    <row r="53" spans="14:18" x14ac:dyDescent="0.25">
      <c r="N53" s="1"/>
      <c r="Q53" s="5"/>
      <c r="R53" s="5"/>
    </row>
    <row r="54" spans="14:18" x14ac:dyDescent="0.25">
      <c r="N54" s="1"/>
      <c r="Q54" s="5"/>
      <c r="R54" s="5"/>
    </row>
    <row r="55" spans="14:18" x14ac:dyDescent="0.25">
      <c r="N55" s="1"/>
      <c r="Q55" s="5"/>
      <c r="R55" s="5"/>
    </row>
    <row r="56" spans="14:18" x14ac:dyDescent="0.25">
      <c r="N56" s="1"/>
      <c r="Q56" s="5"/>
      <c r="R56" s="5"/>
    </row>
    <row r="57" spans="14:18" x14ac:dyDescent="0.25">
      <c r="N57" s="1"/>
      <c r="Q57" s="5"/>
      <c r="R57" s="5"/>
    </row>
    <row r="58" spans="14:18" x14ac:dyDescent="0.25">
      <c r="N58" s="1"/>
      <c r="Q58" s="5"/>
      <c r="R58" s="5"/>
    </row>
  </sheetData>
  <mergeCells count="10">
    <mergeCell ref="M2:P2"/>
    <mergeCell ref="U2:W2"/>
    <mergeCell ref="S2:T2"/>
    <mergeCell ref="Q26:R26"/>
    <mergeCell ref="I30:K30"/>
    <mergeCell ref="N25:O25"/>
    <mergeCell ref="A1:C1"/>
    <mergeCell ref="E1:G1"/>
    <mergeCell ref="J1:R1"/>
    <mergeCell ref="I24:K24"/>
  </mergeCells>
  <conditionalFormatting sqref="M4">
    <cfRule type="cellIs" dxfId="11" priority="23" operator="greaterThan">
      <formula>$F$2</formula>
    </cfRule>
    <cfRule type="cellIs" dxfId="10" priority="24" operator="lessThan">
      <formula>$F$2</formula>
    </cfRule>
  </conditionalFormatting>
  <conditionalFormatting sqref="M5:M6">
    <cfRule type="cellIs" dxfId="9" priority="21" operator="lessThan">
      <formula>$F$2</formula>
    </cfRule>
    <cfRule type="cellIs" dxfId="8" priority="22" operator="greaterThan">
      <formula>$F$2</formula>
    </cfRule>
  </conditionalFormatting>
  <conditionalFormatting sqref="N4:N6">
    <cfRule type="cellIs" dxfId="7" priority="19" operator="lessThan">
      <formula>$F$2</formula>
    </cfRule>
    <cfRule type="cellIs" dxfId="6" priority="20" operator="greaterThan">
      <formula>$F$2</formula>
    </cfRule>
  </conditionalFormatting>
  <conditionalFormatting sqref="O4:O6">
    <cfRule type="cellIs" dxfId="5" priority="17" operator="lessThan">
      <formula>$F$2</formula>
    </cfRule>
    <cfRule type="cellIs" dxfId="4" priority="18" operator="greaterThan">
      <formula>$F$2</formula>
    </cfRule>
  </conditionalFormatting>
  <conditionalFormatting sqref="T4:T6">
    <cfRule type="cellIs" dxfId="3" priority="25" operator="lessThan">
      <formula>$H$4/$F$4</formula>
    </cfRule>
    <cfRule type="cellIs" dxfId="2" priority="26" operator="greaterThan">
      <formula>$H$4/$F$4</formula>
    </cfRule>
  </conditionalFormatting>
  <conditionalFormatting sqref="P4:P6">
    <cfRule type="cellIs" dxfId="1" priority="1" operator="lessThan">
      <formula>$F$2</formula>
    </cfRule>
    <cfRule type="cellIs" dxfId="0" priority="2" operator="greaterThan">
      <formula>$F$2</formula>
    </cfRule>
  </conditionalFormatting>
  <pageMargins left="0.7" right="0.7" top="0.75" bottom="0.75" header="0.3" footer="0.3"/>
  <pageSetup paperSize="9" orientation="portrait" horizontalDpi="4294967293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740806-C9D9-4B8F-99AF-F59D1FEC1B56}">
  <dimension ref="A1:O13"/>
  <sheetViews>
    <sheetView zoomScale="85" zoomScaleNormal="85" workbookViewId="0">
      <selection activeCell="G12" sqref="G12"/>
    </sheetView>
  </sheetViews>
  <sheetFormatPr defaultRowHeight="15" x14ac:dyDescent="0.25"/>
  <cols>
    <col min="1" max="1" width="32.140625" customWidth="1"/>
    <col min="5" max="5" width="16.42578125" customWidth="1"/>
    <col min="9" max="9" width="12.140625" customWidth="1"/>
    <col min="10" max="10" width="11.85546875" customWidth="1"/>
    <col min="11" max="11" width="12.140625" customWidth="1"/>
    <col min="13" max="13" width="31.5703125" customWidth="1"/>
  </cols>
  <sheetData>
    <row r="1" spans="1:15" x14ac:dyDescent="0.25">
      <c r="A1" s="16" t="s">
        <v>59</v>
      </c>
      <c r="B1" s="16"/>
      <c r="C1" s="16"/>
      <c r="E1" s="16" t="s">
        <v>60</v>
      </c>
      <c r="F1" s="16"/>
      <c r="G1" s="16"/>
      <c r="M1" s="15" t="s">
        <v>21</v>
      </c>
      <c r="N1" s="15"/>
      <c r="O1" s="15"/>
    </row>
    <row r="2" spans="1:15" x14ac:dyDescent="0.25">
      <c r="A2" s="1" t="s">
        <v>78</v>
      </c>
      <c r="B2" s="19">
        <v>54</v>
      </c>
      <c r="C2" t="s">
        <v>0</v>
      </c>
      <c r="E2" t="s">
        <v>85</v>
      </c>
      <c r="F2" s="19">
        <v>150</v>
      </c>
      <c r="G2" t="s">
        <v>0</v>
      </c>
      <c r="J2" s="5"/>
      <c r="K2" s="6"/>
      <c r="M2" s="5" t="s">
        <v>22</v>
      </c>
      <c r="N2" s="22">
        <f>((B4/20)^2*3.14*B5/10-(B6/20)^2*3.14*B9/10)/1000</f>
        <v>0.33755000000000002</v>
      </c>
      <c r="O2" t="s">
        <v>23</v>
      </c>
    </row>
    <row r="3" spans="1:15" x14ac:dyDescent="0.25">
      <c r="A3" s="1" t="s">
        <v>79</v>
      </c>
      <c r="B3" s="19">
        <v>2</v>
      </c>
      <c r="C3" t="s">
        <v>0</v>
      </c>
      <c r="E3" t="s">
        <v>86</v>
      </c>
      <c r="F3" s="19">
        <v>15</v>
      </c>
      <c r="G3" t="s">
        <v>0</v>
      </c>
      <c r="J3" s="5"/>
      <c r="K3" s="6"/>
      <c r="M3" s="5" t="s">
        <v>33</v>
      </c>
      <c r="N3" s="22">
        <f>N2*Constants!T16</f>
        <v>277.53361000000001</v>
      </c>
      <c r="O3" t="s">
        <v>24</v>
      </c>
    </row>
    <row r="4" spans="1:15" x14ac:dyDescent="0.25">
      <c r="A4" s="1" t="s">
        <v>25</v>
      </c>
      <c r="B4" s="19">
        <f>B2-2*B3</f>
        <v>50</v>
      </c>
      <c r="C4" t="s">
        <v>0</v>
      </c>
      <c r="E4" t="s">
        <v>87</v>
      </c>
      <c r="F4" s="19">
        <v>36</v>
      </c>
      <c r="G4" t="s">
        <v>0</v>
      </c>
      <c r="M4" s="5" t="s">
        <v>32</v>
      </c>
      <c r="N4" s="22">
        <f>N2*Constants!T17</f>
        <v>265.51683000000003</v>
      </c>
      <c r="O4" t="s">
        <v>24</v>
      </c>
    </row>
    <row r="5" spans="1:15" x14ac:dyDescent="0.25">
      <c r="A5" s="1" t="s">
        <v>80</v>
      </c>
      <c r="B5" s="19">
        <v>300</v>
      </c>
      <c r="C5" t="s">
        <v>0</v>
      </c>
      <c r="M5" s="5" t="s">
        <v>31</v>
      </c>
      <c r="N5" s="22">
        <f>N2*Constants!T18</f>
        <v>251.10344499999999</v>
      </c>
      <c r="O5" t="s">
        <v>24</v>
      </c>
    </row>
    <row r="6" spans="1:15" x14ac:dyDescent="0.25">
      <c r="A6" s="1" t="s">
        <v>82</v>
      </c>
      <c r="B6" s="19">
        <v>40</v>
      </c>
      <c r="C6" t="s">
        <v>0</v>
      </c>
      <c r="M6" s="5" t="s">
        <v>61</v>
      </c>
      <c r="N6" s="22">
        <f>((F4/20)^2-(F3/20)^2)*3.141592*F2/10</f>
        <v>126.17418870000003</v>
      </c>
      <c r="O6" t="s">
        <v>63</v>
      </c>
    </row>
    <row r="7" spans="1:15" x14ac:dyDescent="0.25">
      <c r="A7" s="1" t="s">
        <v>81</v>
      </c>
      <c r="B7" s="19">
        <v>2</v>
      </c>
      <c r="C7" t="s">
        <v>0</v>
      </c>
      <c r="M7" s="5" t="s">
        <v>62</v>
      </c>
      <c r="N7" s="22">
        <f>N6*Constants!Y2</f>
        <v>92.611854505800025</v>
      </c>
      <c r="O7" t="s">
        <v>24</v>
      </c>
    </row>
    <row r="8" spans="1:15" x14ac:dyDescent="0.25">
      <c r="A8" s="1" t="s">
        <v>83</v>
      </c>
      <c r="B8" s="19">
        <f>B6-2*B7</f>
        <v>36</v>
      </c>
      <c r="C8" t="s">
        <v>0</v>
      </c>
    </row>
    <row r="9" spans="1:15" x14ac:dyDescent="0.25">
      <c r="A9" s="1" t="s">
        <v>84</v>
      </c>
      <c r="B9" s="19">
        <v>200</v>
      </c>
      <c r="C9" t="s">
        <v>0</v>
      </c>
    </row>
    <row r="10" spans="1:15" x14ac:dyDescent="0.25">
      <c r="A10" s="1"/>
      <c r="B10" s="36"/>
    </row>
    <row r="11" spans="1:15" x14ac:dyDescent="0.25">
      <c r="A11" s="1"/>
      <c r="B11" s="36"/>
      <c r="J11" s="5"/>
      <c r="K11" s="6"/>
    </row>
    <row r="12" spans="1:15" x14ac:dyDescent="0.25">
      <c r="A12" s="1"/>
      <c r="J12" s="5"/>
      <c r="K12" s="6"/>
    </row>
    <row r="13" spans="1:15" x14ac:dyDescent="0.25">
      <c r="A13" s="1"/>
    </row>
  </sheetData>
  <mergeCells count="3">
    <mergeCell ref="A1:C1"/>
    <mergeCell ref="E1:G1"/>
    <mergeCell ref="M1:O1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B6F633-7A24-416F-95AC-DC17527ABDA9}">
  <dimension ref="A1:Y28"/>
  <sheetViews>
    <sheetView zoomScaleNormal="100" workbookViewId="0">
      <selection activeCell="G24" sqref="G24"/>
    </sheetView>
  </sheetViews>
  <sheetFormatPr defaultRowHeight="15" x14ac:dyDescent="0.25"/>
  <cols>
    <col min="1" max="1" width="23.140625" customWidth="1"/>
    <col min="2" max="2" width="19.140625" customWidth="1"/>
    <col min="3" max="3" width="21.42578125" customWidth="1"/>
    <col min="4" max="4" width="18.140625" customWidth="1"/>
    <col min="5" max="5" width="19.5703125" customWidth="1"/>
    <col min="6" max="6" width="17.28515625" customWidth="1"/>
    <col min="7" max="7" width="14.7109375" customWidth="1"/>
    <col min="8" max="8" width="15" customWidth="1"/>
    <col min="9" max="9" width="13.5703125" customWidth="1"/>
    <col min="10" max="10" width="14.140625" customWidth="1"/>
    <col min="13" max="13" width="18.42578125" customWidth="1"/>
    <col min="24" max="24" width="13" customWidth="1"/>
    <col min="25" max="25" width="11.28515625" customWidth="1"/>
  </cols>
  <sheetData>
    <row r="1" spans="1:25" x14ac:dyDescent="0.25">
      <c r="A1" s="2" t="s">
        <v>3</v>
      </c>
      <c r="B1" s="2" t="s">
        <v>4</v>
      </c>
      <c r="C1" s="2" t="s">
        <v>5</v>
      </c>
      <c r="D1" s="2" t="s">
        <v>7</v>
      </c>
      <c r="E1" s="2" t="s">
        <v>6</v>
      </c>
      <c r="M1" s="16" t="s">
        <v>9</v>
      </c>
      <c r="N1" s="16"/>
      <c r="O1" s="16"/>
      <c r="R1" s="17" t="s">
        <v>27</v>
      </c>
      <c r="S1" s="17"/>
      <c r="T1" s="17"/>
      <c r="X1" s="17" t="s">
        <v>64</v>
      </c>
      <c r="Y1" s="17"/>
    </row>
    <row r="2" spans="1:25" x14ac:dyDescent="0.25">
      <c r="A2" t="s">
        <v>20</v>
      </c>
      <c r="B2">
        <v>68.900000000000006</v>
      </c>
      <c r="C2">
        <v>26.2</v>
      </c>
      <c r="D2">
        <v>110</v>
      </c>
      <c r="E2">
        <v>207</v>
      </c>
      <c r="M2" s="1" t="s">
        <v>8</v>
      </c>
      <c r="N2" s="1">
        <v>101325</v>
      </c>
      <c r="O2" t="s">
        <v>37</v>
      </c>
      <c r="R2" s="2" t="s">
        <v>29</v>
      </c>
      <c r="S2" s="2" t="s">
        <v>30</v>
      </c>
      <c r="T2" s="2" t="s">
        <v>28</v>
      </c>
      <c r="X2" t="s">
        <v>58</v>
      </c>
      <c r="Y2" s="18">
        <f>0.734</f>
        <v>0.73399999999999999</v>
      </c>
    </row>
    <row r="3" spans="1:25" x14ac:dyDescent="0.25">
      <c r="A3" t="s">
        <v>16</v>
      </c>
      <c r="B3">
        <v>71.7</v>
      </c>
      <c r="C3">
        <v>26.9</v>
      </c>
      <c r="D3">
        <v>483</v>
      </c>
      <c r="E3">
        <v>538</v>
      </c>
      <c r="M3" t="s">
        <v>39</v>
      </c>
      <c r="N3" s="1">
        <v>1800</v>
      </c>
      <c r="O3" t="s">
        <v>40</v>
      </c>
      <c r="R3" s="7">
        <v>-50</v>
      </c>
      <c r="S3" s="8">
        <v>649.9</v>
      </c>
      <c r="T3" s="8">
        <v>1102</v>
      </c>
    </row>
    <row r="4" spans="1:25" x14ac:dyDescent="0.25">
      <c r="A4" t="s">
        <v>57</v>
      </c>
      <c r="B4">
        <v>70</v>
      </c>
      <c r="C4">
        <v>26.4</v>
      </c>
      <c r="D4">
        <v>270</v>
      </c>
      <c r="E4">
        <v>300</v>
      </c>
      <c r="R4" s="9">
        <v>-45</v>
      </c>
      <c r="S4" s="10">
        <v>785.8</v>
      </c>
      <c r="T4" s="10">
        <v>1085.5999999999999</v>
      </c>
    </row>
    <row r="5" spans="1:25" x14ac:dyDescent="0.25">
      <c r="R5" s="7">
        <v>-40</v>
      </c>
      <c r="S5" s="8">
        <v>941.7</v>
      </c>
      <c r="T5" s="8">
        <v>1068.8</v>
      </c>
    </row>
    <row r="6" spans="1:25" x14ac:dyDescent="0.25">
      <c r="R6" s="9">
        <v>-35</v>
      </c>
      <c r="S6" s="10">
        <v>1119</v>
      </c>
      <c r="T6" s="10">
        <v>1051.4000000000001</v>
      </c>
    </row>
    <row r="7" spans="1:25" x14ac:dyDescent="0.25">
      <c r="R7" s="7">
        <v>-30</v>
      </c>
      <c r="S7" s="8">
        <v>1321</v>
      </c>
      <c r="T7" s="8">
        <v>1033.4000000000001</v>
      </c>
    </row>
    <row r="8" spans="1:25" x14ac:dyDescent="0.25">
      <c r="R8" s="9">
        <v>-25</v>
      </c>
      <c r="S8" s="10">
        <v>1547</v>
      </c>
      <c r="T8" s="10">
        <v>1014.8</v>
      </c>
    </row>
    <row r="9" spans="1:25" x14ac:dyDescent="0.25">
      <c r="R9" s="7">
        <v>-20</v>
      </c>
      <c r="S9" s="8">
        <v>1801</v>
      </c>
      <c r="T9" s="8">
        <v>995.4</v>
      </c>
    </row>
    <row r="10" spans="1:25" x14ac:dyDescent="0.25">
      <c r="R10" s="9">
        <v>-15</v>
      </c>
      <c r="S10" s="10">
        <v>2083</v>
      </c>
      <c r="T10" s="10">
        <v>975.2</v>
      </c>
    </row>
    <row r="11" spans="1:25" x14ac:dyDescent="0.25">
      <c r="R11" s="7">
        <v>-10</v>
      </c>
      <c r="S11" s="8">
        <v>2397</v>
      </c>
      <c r="T11" s="8">
        <v>953.9</v>
      </c>
    </row>
    <row r="12" spans="1:25" x14ac:dyDescent="0.25">
      <c r="R12" s="9">
        <v>-5</v>
      </c>
      <c r="S12" s="10">
        <v>2744</v>
      </c>
      <c r="T12" s="10">
        <v>931.4</v>
      </c>
    </row>
    <row r="13" spans="1:25" x14ac:dyDescent="0.25">
      <c r="R13" s="7">
        <v>0</v>
      </c>
      <c r="S13" s="8">
        <v>3127</v>
      </c>
      <c r="T13" s="8">
        <v>907.4</v>
      </c>
    </row>
    <row r="14" spans="1:25" x14ac:dyDescent="0.25">
      <c r="R14" s="9">
        <v>5</v>
      </c>
      <c r="S14" s="10">
        <v>3547</v>
      </c>
      <c r="T14" s="10">
        <v>881.6</v>
      </c>
    </row>
    <row r="15" spans="1:25" x14ac:dyDescent="0.25">
      <c r="R15" s="7">
        <v>10</v>
      </c>
      <c r="S15" s="8">
        <v>4007</v>
      </c>
      <c r="T15" s="8">
        <v>853.5</v>
      </c>
    </row>
    <row r="16" spans="1:25" x14ac:dyDescent="0.25">
      <c r="R16" s="9">
        <v>15</v>
      </c>
      <c r="S16" s="10">
        <v>4510</v>
      </c>
      <c r="T16" s="10">
        <v>822.2</v>
      </c>
    </row>
    <row r="17" spans="1:20" x14ac:dyDescent="0.25">
      <c r="R17" s="7">
        <v>20</v>
      </c>
      <c r="S17" s="8">
        <v>5060</v>
      </c>
      <c r="T17" s="8">
        <v>786.6</v>
      </c>
    </row>
    <row r="18" spans="1:20" x14ac:dyDescent="0.25">
      <c r="R18" s="9">
        <v>25</v>
      </c>
      <c r="S18" s="10">
        <v>5660</v>
      </c>
      <c r="T18" s="10">
        <v>743.9</v>
      </c>
    </row>
    <row r="19" spans="1:20" x14ac:dyDescent="0.25">
      <c r="R19" s="7">
        <v>30</v>
      </c>
      <c r="S19" s="8">
        <v>6315</v>
      </c>
      <c r="T19" s="8">
        <v>688</v>
      </c>
    </row>
    <row r="20" spans="1:20" x14ac:dyDescent="0.25">
      <c r="R20" s="9">
        <v>35</v>
      </c>
      <c r="S20" s="10">
        <v>7033</v>
      </c>
      <c r="T20" s="10">
        <v>589.4</v>
      </c>
    </row>
    <row r="21" spans="1:20" x14ac:dyDescent="0.25">
      <c r="A21" s="11" t="s">
        <v>50</v>
      </c>
      <c r="B21" s="16" t="s">
        <v>71</v>
      </c>
      <c r="C21" s="16"/>
      <c r="D21" s="16"/>
      <c r="E21" s="16"/>
      <c r="F21" s="16" t="s">
        <v>70</v>
      </c>
      <c r="G21" s="16"/>
      <c r="H21" s="16"/>
      <c r="I21" s="16"/>
    </row>
    <row r="22" spans="1:20" x14ac:dyDescent="0.25">
      <c r="A22" s="1"/>
      <c r="B22" s="34" t="s">
        <v>72</v>
      </c>
      <c r="C22" s="34" t="s">
        <v>73</v>
      </c>
      <c r="D22" s="34" t="s">
        <v>74</v>
      </c>
      <c r="E22" s="34" t="s">
        <v>75</v>
      </c>
      <c r="F22" s="35" t="s">
        <v>72</v>
      </c>
      <c r="G22" s="35" t="s">
        <v>73</v>
      </c>
      <c r="H22" s="35" t="s">
        <v>74</v>
      </c>
      <c r="I22" s="35" t="s">
        <v>75</v>
      </c>
    </row>
    <row r="23" spans="1:20" x14ac:dyDescent="0.25">
      <c r="A23" s="1" t="s">
        <v>53</v>
      </c>
      <c r="B23" s="14"/>
      <c r="C23" s="14"/>
      <c r="D23" s="14"/>
      <c r="E23" s="14"/>
      <c r="F23" s="13"/>
      <c r="G23" s="13"/>
      <c r="H23" s="13"/>
      <c r="I23" s="13"/>
    </row>
    <row r="24" spans="1:20" x14ac:dyDescent="0.25">
      <c r="A24" s="1" t="s">
        <v>52</v>
      </c>
      <c r="B24" s="14"/>
      <c r="C24" s="14"/>
      <c r="D24" s="14"/>
      <c r="E24" s="14"/>
      <c r="F24" s="13">
        <v>2</v>
      </c>
      <c r="G24" s="13">
        <v>2</v>
      </c>
      <c r="H24" s="13">
        <v>2</v>
      </c>
      <c r="I24" s="13">
        <v>2</v>
      </c>
    </row>
    <row r="25" spans="1:20" x14ac:dyDescent="0.25">
      <c r="A25" s="1" t="s">
        <v>51</v>
      </c>
      <c r="B25" s="14">
        <v>4.09</v>
      </c>
      <c r="C25" s="14">
        <v>5.1100000000000003</v>
      </c>
      <c r="D25" s="14">
        <v>6.13</v>
      </c>
      <c r="E25" s="14">
        <v>8.18</v>
      </c>
      <c r="F25" s="12">
        <v>2.73</v>
      </c>
      <c r="G25" s="12">
        <v>3.41</v>
      </c>
      <c r="H25" s="12">
        <v>3.41</v>
      </c>
      <c r="I25" s="12">
        <v>5.45</v>
      </c>
    </row>
    <row r="26" spans="1:20" x14ac:dyDescent="0.25">
      <c r="A26" s="1" t="s">
        <v>54</v>
      </c>
      <c r="B26" s="14">
        <v>5.79</v>
      </c>
      <c r="C26" s="14">
        <v>7.24</v>
      </c>
      <c r="D26" s="14">
        <v>8.68</v>
      </c>
      <c r="E26" s="14">
        <v>11.6</v>
      </c>
      <c r="F26" s="12">
        <v>3.86</v>
      </c>
      <c r="G26" s="12">
        <v>4.82</v>
      </c>
      <c r="H26" s="12">
        <v>4.82</v>
      </c>
      <c r="I26" s="12">
        <v>7.72</v>
      </c>
    </row>
    <row r="27" spans="1:20" x14ac:dyDescent="0.25">
      <c r="A27" s="1" t="s">
        <v>55</v>
      </c>
      <c r="B27" s="14"/>
      <c r="C27" s="14"/>
      <c r="D27" s="14"/>
      <c r="E27" s="14"/>
      <c r="F27" s="13"/>
      <c r="G27" s="13"/>
      <c r="H27" s="13"/>
      <c r="I27" s="13"/>
    </row>
    <row r="28" spans="1:20" x14ac:dyDescent="0.25">
      <c r="A28" s="1" t="s">
        <v>56</v>
      </c>
      <c r="B28" s="14"/>
      <c r="C28" s="14"/>
      <c r="D28" s="14"/>
      <c r="E28" s="14"/>
      <c r="F28" s="13"/>
      <c r="G28" s="13"/>
      <c r="H28" s="13"/>
      <c r="I28" s="13"/>
    </row>
  </sheetData>
  <mergeCells count="5">
    <mergeCell ref="R1:T1"/>
    <mergeCell ref="M1:O1"/>
    <mergeCell ref="B21:E21"/>
    <mergeCell ref="F21:I21"/>
    <mergeCell ref="X1:Y1"/>
  </mergeCells>
  <pageMargins left="0.7" right="0.7" top="0.75" bottom="0.75" header="0.3" footer="0.3"/>
  <pageSetup paperSize="9" orientation="portrait" horizontalDpi="4294967293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AF2C42A-AB98-43D1-9870-0579A74426A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Pipe calculator</vt:lpstr>
      <vt:lpstr>Inner hybrid</vt:lpstr>
      <vt:lpstr>Constants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Bdabrowski</dc:creator>
  <cp:lastModifiedBy>Bdabrowski</cp:lastModifiedBy>
  <dcterms:created xsi:type="dcterms:W3CDTF">2015-06-05T18:19:34Z</dcterms:created>
  <dcterms:modified xsi:type="dcterms:W3CDTF">2022-12-27T12:41:58Z</dcterms:modified>
</cp:coreProperties>
</file>